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ownloads\design_tool_4 (1)\"/>
    </mc:Choice>
  </mc:AlternateContent>
  <xr:revisionPtr revIDLastSave="0" documentId="13_ncr:1_{7D3DC08A-0557-4C9B-B7E0-3AD9A3CFA27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 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5" i="1" l="1"/>
  <c r="C5" i="1"/>
  <c r="C52" i="1" s="1"/>
  <c r="C60" i="1" s="1"/>
  <c r="C75" i="1" s="1"/>
  <c r="C89" i="1"/>
  <c r="C91" i="1" s="1"/>
  <c r="C92" i="1" s="1"/>
  <c r="C82" i="1"/>
  <c r="C81" i="1"/>
  <c r="C80" i="1"/>
  <c r="C79" i="1"/>
  <c r="C43" i="1" l="1"/>
  <c r="C50" i="1"/>
  <c r="C57" i="1" s="1"/>
  <c r="C72" i="1" s="1"/>
  <c r="C44" i="1"/>
  <c r="C45" i="1" s="1"/>
  <c r="C49" i="1"/>
  <c r="C51" i="1"/>
  <c r="C58" i="1" s="1"/>
  <c r="C66" i="1" s="1"/>
  <c r="C73" i="1"/>
  <c r="C88" i="1"/>
  <c r="C90" i="1" s="1"/>
  <c r="C59" i="1"/>
  <c r="C67" i="1" s="1"/>
  <c r="C74" i="1" s="1"/>
  <c r="C68" i="1"/>
  <c r="C56" i="1"/>
  <c r="C64" i="1" s="1"/>
  <c r="C71" i="1" s="1"/>
</calcChain>
</file>

<file path=xl/sharedStrings.xml><?xml version="1.0" encoding="utf-8"?>
<sst xmlns="http://schemas.openxmlformats.org/spreadsheetml/2006/main" count="187" uniqueCount="131">
  <si>
    <t>Unit</t>
  </si>
  <si>
    <t>volt</t>
  </si>
  <si>
    <t>%</t>
  </si>
  <si>
    <t>Tamb max</t>
  </si>
  <si>
    <t>'C</t>
  </si>
  <si>
    <t>Tamb min</t>
  </si>
  <si>
    <t>Value</t>
  </si>
  <si>
    <t>Parameters</t>
  </si>
  <si>
    <t>AMBIENT TEMPERATURE</t>
  </si>
  <si>
    <t>LEGENDS</t>
  </si>
  <si>
    <t>INPUTS</t>
  </si>
  <si>
    <t>COMPUTED VALUES</t>
  </si>
  <si>
    <t>SUPPLY VOLTAGE</t>
  </si>
  <si>
    <t>VGG</t>
  </si>
  <si>
    <t>VDD</t>
  </si>
  <si>
    <t>RG1</t>
  </si>
  <si>
    <t>ohms</t>
  </si>
  <si>
    <t>RG2</t>
  </si>
  <si>
    <t>RCOIL_typical</t>
  </si>
  <si>
    <t>LCOIL</t>
  </si>
  <si>
    <t>uH</t>
  </si>
  <si>
    <t>Pdiss_coil_rating</t>
  </si>
  <si>
    <t>watt</t>
  </si>
  <si>
    <t>Tmin_relay</t>
  </si>
  <si>
    <t>Tmax_relay</t>
  </si>
  <si>
    <t>C</t>
  </si>
  <si>
    <t>RESISTOR DATA</t>
  </si>
  <si>
    <t>RELAY DATA</t>
  </si>
  <si>
    <t>MOSFET DATA</t>
  </si>
  <si>
    <t>Tmin_NMOS</t>
  </si>
  <si>
    <t>Tmax_NMOS</t>
  </si>
  <si>
    <t>VGSth_max</t>
  </si>
  <si>
    <t>VD_NMOS_rating</t>
  </si>
  <si>
    <t>RDSon_typical</t>
  </si>
  <si>
    <t>Pdiss_NMOS_rating</t>
  </si>
  <si>
    <t>COSS</t>
  </si>
  <si>
    <t>I.D_max</t>
  </si>
  <si>
    <t>Tj_max_NMOS</t>
  </si>
  <si>
    <t>Rthja_NMOS</t>
  </si>
  <si>
    <t>pF</t>
  </si>
  <si>
    <t>C/W</t>
  </si>
  <si>
    <t>Pdiss_NMOS_rating_Tamb_max</t>
  </si>
  <si>
    <t>VG_circuit_typical</t>
  </si>
  <si>
    <t>MOSFET_ON_analysis</t>
  </si>
  <si>
    <t>COMPUTED CURRENTS</t>
  </si>
  <si>
    <t>I_RG1_inrush_typ</t>
  </si>
  <si>
    <t>mA</t>
  </si>
  <si>
    <t>A</t>
  </si>
  <si>
    <t>I_RG1_steady_typ</t>
  </si>
  <si>
    <t>I_RG2_steady_typ</t>
  </si>
  <si>
    <t>I_COIL_23C_typ</t>
  </si>
  <si>
    <t>COMPUTED POWER DISSIPATIONS</t>
  </si>
  <si>
    <t>Pdiss_RG1_inrush_typ</t>
  </si>
  <si>
    <t>mW</t>
  </si>
  <si>
    <t>Pdiss_RG1_steady_typ</t>
  </si>
  <si>
    <t>Pdiss_RG2_steady_typ</t>
  </si>
  <si>
    <t>COMPUTED POWER STRESSES</t>
  </si>
  <si>
    <t>Pstress_inrush_typ_RG1</t>
  </si>
  <si>
    <t>Pdiss_RG1_rating</t>
  </si>
  <si>
    <t>Pdiss_RG2_rating</t>
  </si>
  <si>
    <t>Pstress_steady_typ_RG1</t>
  </si>
  <si>
    <t>Pstress_typ_RG2</t>
  </si>
  <si>
    <t>Pstress_typ_RG2_analysis</t>
  </si>
  <si>
    <t>Pstress_typ_coil_25C</t>
  </si>
  <si>
    <t>Pdiss_RCOIL_23C_typ</t>
  </si>
  <si>
    <t>Pstress_typ_coil_25C_analysis</t>
  </si>
  <si>
    <t>Pdiss_NMOS_23C_typ</t>
  </si>
  <si>
    <t>ohm</t>
  </si>
  <si>
    <t>Pstress_NMOS_25C_typ_analysis</t>
  </si>
  <si>
    <t>Pstress_NMOS_25C_typ</t>
  </si>
  <si>
    <t>Pstress_inrush_typ_RG1_analysis</t>
  </si>
  <si>
    <t>Pstress_steady_typ_RG1_analysis</t>
  </si>
  <si>
    <t>Tmin_relay_analysis</t>
  </si>
  <si>
    <t>Tmax_relay_analysis</t>
  </si>
  <si>
    <t>Tmin_NMOS_analysis</t>
  </si>
  <si>
    <t>Tmax_NMOS_analysis</t>
  </si>
  <si>
    <t>POWER STRESSES ANALYSIS</t>
  </si>
  <si>
    <t>OPERATING TEMPERATURE ANALYSIS</t>
  </si>
  <si>
    <t>VDD_NMOS_unclamped</t>
  </si>
  <si>
    <t>Vstress_NMOS_clamped</t>
  </si>
  <si>
    <t>VDD_NMOS_clamped</t>
  </si>
  <si>
    <t>NMOS VOLTAGE STRESS</t>
  </si>
  <si>
    <t>Vstress_NMOS_unclamped</t>
  </si>
  <si>
    <t>With diode clamp? (1 for yes, 2 for no)</t>
  </si>
  <si>
    <t>Voltage_stress_judgement</t>
  </si>
  <si>
    <t>This is the maximum operating ambient temperature. This is a design given.</t>
  </si>
  <si>
    <t>This is the minimum operating ambient temperature. This is a design given.</t>
  </si>
  <si>
    <t>Input here the coil resistance of the relay. Get this from the datasheet.</t>
  </si>
  <si>
    <t>Input here the power dissipation rating of RG1. Get this from the datasheet.</t>
  </si>
  <si>
    <t>Input here the power dissipation rating of RG2. Get this from the datasheet.</t>
  </si>
  <si>
    <t>Input here the coil inductance of the relay. Get this from the datasheet.</t>
  </si>
  <si>
    <t>Input here the power dissipation rating of the relay coil. Get this from the datasheet.</t>
  </si>
  <si>
    <t>Input here the minimum operating temperature of the relay. Get this from the datasheet</t>
  </si>
  <si>
    <t>Input here the maximum operating temperature of the relay. Get this from the datasheet</t>
  </si>
  <si>
    <t>This is the typical value of VGG. See the figure.</t>
  </si>
  <si>
    <t>This is the typical value of VDD. See the figure.</t>
  </si>
  <si>
    <t>Input here the resistance of RG1. See figure.</t>
  </si>
  <si>
    <t>Input here the resistance of RG2. See figure.</t>
  </si>
  <si>
    <t>This is the drain voltage rating of the MOSFET. Get this from the datasheet.</t>
  </si>
  <si>
    <t>This is the gate threshold voltage of the MOSFET Q1. Get this from the datasheet.</t>
  </si>
  <si>
    <t>Input here the minimum operating temperature of the MOSFET Q1. Get this from the datasheet.</t>
  </si>
  <si>
    <t>Input here the maximum operating temperature of the MOSFET Q1. Get this from the datasheet.</t>
  </si>
  <si>
    <t>This is the drain on state resistance of the MOSFET. Get this from the datasheet.</t>
  </si>
  <si>
    <t>This is the power dissipation rating of the MOSFET. This is usually taken at 25C. Get this from the datasheet.</t>
  </si>
  <si>
    <t>This is COSS rating of the MOSFET. Get this from the datasheet.</t>
  </si>
  <si>
    <t>This is the drain current rating of the MOSFET. Get this from the datasheet.</t>
  </si>
  <si>
    <t>This is the maximum junction temperature rating of the MOSFET. Get this from the datasheet.</t>
  </si>
  <si>
    <t>This is the thermal resistance from junction to ambient of the MOSFET. Get this rating from the datasheet.</t>
  </si>
  <si>
    <t>This is the computed power dissipation capability of the MOSFET at maximum operating temperarture</t>
  </si>
  <si>
    <t>This is the computed typical level of the VG node. See the figure.</t>
  </si>
  <si>
    <t>This is the computed typical current flowing thru RG1 during inrush.</t>
  </si>
  <si>
    <t>This is the computed typical current flowing thru RG1 during steady state.</t>
  </si>
  <si>
    <t>This is the computed typical current flowing thru RG2 during steady state.</t>
  </si>
  <si>
    <t>This is the computed typical current flowing thru relay coil during steady state.</t>
  </si>
  <si>
    <t>This is the computed typical power dissipation of RG1 during inrush.</t>
  </si>
  <si>
    <t>This is the computed typical power dissipation of RG1 during steady state.</t>
  </si>
  <si>
    <t>This is the computed typical power dissipation of RG2 during steady state.</t>
  </si>
  <si>
    <t>This is the computed typical power dissipation of relay coil during steady state.</t>
  </si>
  <si>
    <t>This is the computed typical power dissipation of MOSFET during steady state.</t>
  </si>
  <si>
    <t>This is the computed typical power stress of RG1 during inrush.</t>
  </si>
  <si>
    <t>This is the computed typical power stress of RG1 during steady state.</t>
  </si>
  <si>
    <t>This is the computed typical power stress of RG2 during steady state.</t>
  </si>
  <si>
    <t>This is the computed typical power stress of relay coil during steady state.</t>
  </si>
  <si>
    <t>This is the computed typical power stress of MOSFET during steady state.</t>
  </si>
  <si>
    <t>This is the typical drain voltage when to diode clamp.</t>
  </si>
  <si>
    <t>This is the typical drain voltage when there is a diode clamp.</t>
  </si>
  <si>
    <t>This is the voltage stress if there is a diode clamp</t>
  </si>
  <si>
    <t>This is the voltage stress if there is no diode clamp</t>
  </si>
  <si>
    <t>Enter here 1 if the design has diode clamp (D1). Enter 2 if the design has NO diode clamp.</t>
  </si>
  <si>
    <t>electronicsbeliever.com</t>
  </si>
  <si>
    <t>Design Template for NMOS Lowside Relay Driver - electronicsbeliever.com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</si>
</sst>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/>
    <xf numFmtId="0" fontId="2" fillId="3" borderId="0" xfId="0" applyFont="1" applyFill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3" borderId="0" xfId="0" applyFont="1" applyFill="1" applyAlignment="1">
      <alignment wrapText="1"/>
    </xf>
    <xf numFmtId="0" fontId="0" fillId="8" borderId="0" xfId="0" applyFill="1"/>
    <xf numFmtId="0" fontId="0" fillId="8" borderId="0" xfId="0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quotePrefix="1" applyFill="1" applyBorder="1" applyAlignment="1">
      <alignment horizontal="center" vertical="center"/>
    </xf>
    <xf numFmtId="0" fontId="0" fillId="8" borderId="0" xfId="0" applyFill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1" xfId="0" applyFill="1" applyBorder="1"/>
    <xf numFmtId="0" fontId="4" fillId="3" borderId="1" xfId="0" applyFont="1" applyFill="1" applyBorder="1"/>
    <xf numFmtId="0" fontId="0" fillId="3" borderId="6" xfId="0" applyFill="1" applyBorder="1"/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/>
    <xf numFmtId="0" fontId="5" fillId="9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wrapText="1"/>
    </xf>
    <xf numFmtId="0" fontId="2" fillId="6" borderId="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ont>
        <b/>
        <i val="0"/>
        <strike val="0"/>
        <color rgb="FF00206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002060"/>
      </font>
    </dxf>
    <dxf>
      <font>
        <b/>
        <i val="0"/>
        <strike val="0"/>
        <color rgb="FF002060"/>
      </font>
    </dxf>
    <dxf>
      <font>
        <b/>
        <i val="0"/>
        <strike val="0"/>
        <color rgb="FFFF0000"/>
      </font>
    </dxf>
    <dxf>
      <font>
        <b/>
        <i val="0"/>
        <strike val="0"/>
        <color rgb="FF002060"/>
      </font>
    </dxf>
    <dxf>
      <font>
        <b/>
        <i val="0"/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320041</xdr:colOff>
      <xdr:row>12</xdr:row>
      <xdr:rowOff>99060</xdr:rowOff>
    </xdr:from>
    <xdr:to>
      <xdr:col>9</xdr:col>
      <xdr:colOff>889037</xdr:colOff>
      <xdr:row>34</xdr:row>
      <xdr:rowOff>129540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4E9A74F-B751-8B6D-730B-5D2ED5957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0761" y="2575560"/>
          <a:ext cx="3792256" cy="40995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92"/>
  <sheetViews>
    <sheetView tabSelected="1" topLeftCell="A4" zoomScaleNormal="100" workbookViewId="0">
      <selection activeCell="F9" sqref="F9"/>
    </sheetView>
  </sheetViews>
  <sheetFormatPr defaultColWidth="9.109375" defaultRowHeight="14.4" x14ac:dyDescent="0.3"/>
  <cols>
    <col min="1" max="1" width="4.109375" style="1" customWidth="1"/>
    <col min="2" max="2" width="32.33203125" style="2" customWidth="1"/>
    <col min="3" max="3" width="17.6640625" style="2" customWidth="1"/>
    <col min="4" max="4" width="11.88671875" style="2" bestFit="1" customWidth="1"/>
    <col min="5" max="5" width="67.33203125" style="2" bestFit="1" customWidth="1"/>
    <col min="6" max="6" width="11.44140625" style="2" customWidth="1"/>
    <col min="7" max="7" width="9.44140625" style="1" bestFit="1" customWidth="1"/>
    <col min="8" max="8" width="25.5546875" style="2" bestFit="1" customWidth="1"/>
    <col min="9" max="9" width="12" style="2" bestFit="1" customWidth="1"/>
    <col min="10" max="10" width="17.6640625" style="2" bestFit="1" customWidth="1"/>
    <col min="11" max="11" width="30.6640625" style="1" bestFit="1" customWidth="1"/>
    <col min="12" max="12" width="12" style="1" bestFit="1" customWidth="1"/>
    <col min="13" max="13" width="10.44140625" style="1" bestFit="1" customWidth="1"/>
    <col min="14" max="14" width="31.6640625" style="1" bestFit="1" customWidth="1"/>
    <col min="15" max="16384" width="9.109375" style="1"/>
  </cols>
  <sheetData>
    <row r="2" spans="1:10" x14ac:dyDescent="0.3">
      <c r="A2" s="37">
        <v>4</v>
      </c>
      <c r="B2" s="28"/>
      <c r="C2" s="28"/>
      <c r="D2" s="28"/>
      <c r="E2" s="28"/>
      <c r="F2" s="28"/>
      <c r="G2" s="29"/>
      <c r="H2" s="28"/>
      <c r="I2" s="28"/>
      <c r="J2" s="28"/>
    </row>
    <row r="3" spans="1:10" ht="33.6" x14ac:dyDescent="0.3">
      <c r="A3" s="37"/>
      <c r="B3" s="30" t="s">
        <v>130</v>
      </c>
      <c r="C3" s="28"/>
      <c r="D3" s="28"/>
      <c r="E3" s="28"/>
      <c r="F3" s="28"/>
      <c r="G3" s="29"/>
      <c r="H3" s="28"/>
      <c r="I3" s="28"/>
      <c r="J3" s="28"/>
    </row>
    <row r="4" spans="1:10" x14ac:dyDescent="0.3">
      <c r="A4" s="37"/>
      <c r="B4" s="28"/>
      <c r="C4" s="28"/>
      <c r="D4" s="28"/>
      <c r="E4" s="28"/>
      <c r="F4" s="28"/>
      <c r="G4" s="29"/>
      <c r="H4" s="28"/>
      <c r="I4" s="28"/>
      <c r="J4" s="28"/>
    </row>
    <row r="5" spans="1:10" ht="15.6" x14ac:dyDescent="0.3">
      <c r="B5" s="4" t="s">
        <v>129</v>
      </c>
      <c r="C5" s="24">
        <f>IF(B5="electronicsbeliever.com",1,0)</f>
        <v>1</v>
      </c>
    </row>
    <row r="6" spans="1:10" ht="15" customHeight="1" x14ac:dyDescent="0.3">
      <c r="B6" s="35" t="s">
        <v>12</v>
      </c>
      <c r="C6" s="35"/>
      <c r="D6" s="35"/>
      <c r="E6" s="4"/>
      <c r="F6" s="4"/>
    </row>
    <row r="7" spans="1:10" ht="15.6" x14ac:dyDescent="0.3">
      <c r="B7" s="14" t="s">
        <v>7</v>
      </c>
      <c r="C7" s="14" t="s">
        <v>6</v>
      </c>
      <c r="D7" s="14" t="s">
        <v>0</v>
      </c>
      <c r="E7" s="1"/>
      <c r="F7" s="1"/>
      <c r="G7" s="7" t="s">
        <v>9</v>
      </c>
    </row>
    <row r="8" spans="1:10" x14ac:dyDescent="0.3">
      <c r="B8" s="8" t="s">
        <v>13</v>
      </c>
      <c r="C8" s="9">
        <v>5</v>
      </c>
      <c r="D8" s="11" t="s">
        <v>1</v>
      </c>
      <c r="E8" s="26" t="s">
        <v>94</v>
      </c>
      <c r="F8" s="1"/>
      <c r="G8" s="9"/>
      <c r="H8" s="3" t="s">
        <v>10</v>
      </c>
    </row>
    <row r="9" spans="1:10" x14ac:dyDescent="0.3">
      <c r="B9" s="8" t="s">
        <v>14</v>
      </c>
      <c r="C9" s="9">
        <v>5</v>
      </c>
      <c r="D9" s="11" t="s">
        <v>1</v>
      </c>
      <c r="E9" s="26" t="s">
        <v>95</v>
      </c>
      <c r="F9" s="1"/>
      <c r="G9" s="10"/>
      <c r="H9" s="3" t="s">
        <v>11</v>
      </c>
    </row>
    <row r="10" spans="1:10" x14ac:dyDescent="0.3">
      <c r="E10" s="1"/>
      <c r="F10" s="1"/>
    </row>
    <row r="11" spans="1:10" ht="15.6" x14ac:dyDescent="0.3">
      <c r="B11" s="35" t="s">
        <v>8</v>
      </c>
      <c r="C11" s="35"/>
      <c r="D11" s="35"/>
      <c r="E11" s="1"/>
      <c r="F11" s="1"/>
      <c r="G11" s="17"/>
      <c r="H11" s="18"/>
      <c r="I11" s="18"/>
      <c r="J11" s="18"/>
    </row>
    <row r="12" spans="1:10" x14ac:dyDescent="0.3">
      <c r="B12" s="14" t="s">
        <v>7</v>
      </c>
      <c r="C12" s="14" t="s">
        <v>6</v>
      </c>
      <c r="D12" s="14" t="s">
        <v>0</v>
      </c>
      <c r="E12" s="27"/>
      <c r="F12" s="1"/>
      <c r="G12" s="17"/>
      <c r="H12" s="18"/>
      <c r="I12" s="18"/>
      <c r="J12" s="18"/>
    </row>
    <row r="13" spans="1:10" x14ac:dyDescent="0.3">
      <c r="B13" s="8" t="s">
        <v>3</v>
      </c>
      <c r="C13" s="9">
        <v>60</v>
      </c>
      <c r="D13" s="12" t="s">
        <v>4</v>
      </c>
      <c r="E13" s="26" t="s">
        <v>85</v>
      </c>
      <c r="F13" s="1"/>
      <c r="G13" s="17"/>
      <c r="H13" s="18"/>
      <c r="I13" s="18"/>
      <c r="J13" s="18"/>
    </row>
    <row r="14" spans="1:10" x14ac:dyDescent="0.3">
      <c r="B14" s="8" t="s">
        <v>5</v>
      </c>
      <c r="C14" s="13">
        <v>-30</v>
      </c>
      <c r="D14" s="12" t="s">
        <v>4</v>
      </c>
      <c r="E14" s="26" t="s">
        <v>86</v>
      </c>
      <c r="F14" s="1"/>
      <c r="G14" s="17"/>
      <c r="H14" s="18"/>
      <c r="I14" s="18"/>
      <c r="J14" s="18"/>
    </row>
    <row r="15" spans="1:10" x14ac:dyDescent="0.3">
      <c r="B15" s="19"/>
      <c r="C15" s="21"/>
      <c r="D15" s="21"/>
      <c r="E15" s="6"/>
      <c r="F15" s="1"/>
      <c r="G15" s="17"/>
      <c r="H15" s="18"/>
      <c r="I15" s="18"/>
      <c r="J15" s="18"/>
    </row>
    <row r="16" spans="1:10" ht="15.6" x14ac:dyDescent="0.3">
      <c r="B16" s="35" t="s">
        <v>26</v>
      </c>
      <c r="C16" s="35"/>
      <c r="D16" s="35"/>
      <c r="E16" s="1"/>
      <c r="F16" s="1"/>
      <c r="G16" s="17"/>
      <c r="H16" s="18"/>
      <c r="I16" s="18"/>
      <c r="J16" s="18"/>
    </row>
    <row r="17" spans="2:10" x14ac:dyDescent="0.3">
      <c r="B17" s="14" t="s">
        <v>7</v>
      </c>
      <c r="C17" s="14" t="s">
        <v>6</v>
      </c>
      <c r="D17" s="14" t="s">
        <v>0</v>
      </c>
      <c r="E17" s="1"/>
      <c r="F17" s="1"/>
      <c r="G17" s="17"/>
      <c r="H17" s="18"/>
      <c r="I17" s="18"/>
      <c r="J17" s="22"/>
    </row>
    <row r="18" spans="2:10" x14ac:dyDescent="0.3">
      <c r="B18" s="8" t="s">
        <v>15</v>
      </c>
      <c r="C18" s="9">
        <v>1500</v>
      </c>
      <c r="D18" s="11" t="s">
        <v>16</v>
      </c>
      <c r="E18" s="26" t="s">
        <v>96</v>
      </c>
      <c r="F18" s="1"/>
      <c r="G18" s="17"/>
      <c r="H18" s="18"/>
      <c r="I18" s="18"/>
      <c r="J18" s="18"/>
    </row>
    <row r="19" spans="2:10" x14ac:dyDescent="0.3">
      <c r="B19" s="8" t="s">
        <v>17</v>
      </c>
      <c r="C19" s="9">
        <v>100000</v>
      </c>
      <c r="D19" s="11" t="s">
        <v>16</v>
      </c>
      <c r="E19" s="26" t="s">
        <v>97</v>
      </c>
      <c r="F19" s="1"/>
      <c r="G19" s="17"/>
      <c r="H19" s="18"/>
      <c r="I19" s="18"/>
      <c r="J19" s="18"/>
    </row>
    <row r="20" spans="2:10" x14ac:dyDescent="0.3">
      <c r="B20" s="8" t="s">
        <v>58</v>
      </c>
      <c r="C20" s="9">
        <v>0.1</v>
      </c>
      <c r="D20" s="11" t="s">
        <v>22</v>
      </c>
      <c r="E20" s="26" t="s">
        <v>88</v>
      </c>
      <c r="F20" s="1"/>
      <c r="G20" s="17"/>
      <c r="H20" s="18"/>
      <c r="I20" s="18"/>
      <c r="J20" s="18"/>
    </row>
    <row r="21" spans="2:10" x14ac:dyDescent="0.3">
      <c r="B21" s="8" t="s">
        <v>59</v>
      </c>
      <c r="C21" s="9">
        <v>0.1</v>
      </c>
      <c r="D21" s="11" t="s">
        <v>22</v>
      </c>
      <c r="E21" s="26" t="s">
        <v>89</v>
      </c>
      <c r="F21" s="1"/>
      <c r="G21" s="17"/>
      <c r="H21" s="18"/>
      <c r="I21" s="18"/>
      <c r="J21" s="18"/>
    </row>
    <row r="22" spans="2:10" x14ac:dyDescent="0.3">
      <c r="B22" s="19"/>
      <c r="C22" s="20"/>
      <c r="D22" s="20"/>
      <c r="E22" s="6"/>
      <c r="F22" s="1"/>
      <c r="G22" s="17"/>
      <c r="H22" s="18"/>
      <c r="I22" s="18"/>
      <c r="J22" s="18"/>
    </row>
    <row r="23" spans="2:10" ht="15.6" x14ac:dyDescent="0.3">
      <c r="B23" s="35" t="s">
        <v>27</v>
      </c>
      <c r="C23" s="35"/>
      <c r="D23" s="35"/>
      <c r="E23" s="6"/>
      <c r="F23" s="1"/>
      <c r="G23" s="17"/>
      <c r="H23" s="18"/>
      <c r="I23" s="18"/>
      <c r="J23" s="18"/>
    </row>
    <row r="24" spans="2:10" x14ac:dyDescent="0.3">
      <c r="B24" s="14" t="s">
        <v>7</v>
      </c>
      <c r="C24" s="14" t="s">
        <v>6</v>
      </c>
      <c r="D24" s="14" t="s">
        <v>0</v>
      </c>
      <c r="E24" s="6"/>
      <c r="F24" s="1"/>
      <c r="G24" s="17"/>
      <c r="H24" s="18"/>
      <c r="I24" s="18"/>
      <c r="J24" s="18"/>
    </row>
    <row r="25" spans="2:10" x14ac:dyDescent="0.3">
      <c r="B25" s="8" t="s">
        <v>18</v>
      </c>
      <c r="C25" s="9">
        <v>100</v>
      </c>
      <c r="D25" s="11" t="s">
        <v>16</v>
      </c>
      <c r="E25" s="26" t="s">
        <v>87</v>
      </c>
      <c r="F25" s="1"/>
      <c r="G25" s="17"/>
      <c r="H25" s="18"/>
      <c r="I25" s="18"/>
      <c r="J25" s="18"/>
    </row>
    <row r="26" spans="2:10" x14ac:dyDescent="0.3">
      <c r="B26" s="8" t="s">
        <v>19</v>
      </c>
      <c r="C26" s="9">
        <v>100</v>
      </c>
      <c r="D26" s="11" t="s">
        <v>20</v>
      </c>
      <c r="E26" s="26" t="s">
        <v>90</v>
      </c>
      <c r="F26" s="1"/>
      <c r="G26" s="17"/>
      <c r="H26" s="18"/>
      <c r="I26" s="18"/>
      <c r="J26" s="18"/>
    </row>
    <row r="27" spans="2:10" x14ac:dyDescent="0.3">
      <c r="B27" s="8" t="s">
        <v>21</v>
      </c>
      <c r="C27" s="9">
        <v>1</v>
      </c>
      <c r="D27" s="11" t="s">
        <v>22</v>
      </c>
      <c r="E27" s="26" t="s">
        <v>91</v>
      </c>
      <c r="F27" s="1"/>
      <c r="G27" s="17"/>
      <c r="H27" s="18"/>
      <c r="I27" s="18"/>
      <c r="J27" s="18"/>
    </row>
    <row r="28" spans="2:10" x14ac:dyDescent="0.3">
      <c r="B28" s="8" t="s">
        <v>23</v>
      </c>
      <c r="C28" s="9">
        <v>-40</v>
      </c>
      <c r="D28" s="12" t="s">
        <v>4</v>
      </c>
      <c r="E28" s="26" t="s">
        <v>92</v>
      </c>
      <c r="F28" s="1"/>
      <c r="G28" s="17"/>
      <c r="H28" s="18"/>
      <c r="I28" s="18"/>
      <c r="J28" s="18"/>
    </row>
    <row r="29" spans="2:10" x14ac:dyDescent="0.3">
      <c r="B29" s="8" t="s">
        <v>24</v>
      </c>
      <c r="C29" s="9">
        <v>125</v>
      </c>
      <c r="D29" s="12" t="s">
        <v>25</v>
      </c>
      <c r="E29" s="26" t="s">
        <v>93</v>
      </c>
      <c r="F29" s="1"/>
      <c r="G29" s="17"/>
      <c r="H29" s="18"/>
      <c r="I29" s="18"/>
      <c r="J29" s="18"/>
    </row>
    <row r="30" spans="2:10" x14ac:dyDescent="0.3">
      <c r="E30" s="1"/>
      <c r="F30" s="1"/>
      <c r="G30" s="17"/>
      <c r="H30" s="18"/>
      <c r="I30" s="18"/>
      <c r="J30" s="18"/>
    </row>
    <row r="31" spans="2:10" ht="15.6" x14ac:dyDescent="0.3">
      <c r="B31" s="35" t="s">
        <v>28</v>
      </c>
      <c r="C31" s="35"/>
      <c r="D31" s="35"/>
      <c r="E31" s="1"/>
      <c r="F31" s="1"/>
      <c r="G31" s="17"/>
      <c r="H31" s="18"/>
      <c r="I31" s="18"/>
      <c r="J31" s="18"/>
    </row>
    <row r="32" spans="2:10" x14ac:dyDescent="0.3">
      <c r="B32" s="14" t="s">
        <v>7</v>
      </c>
      <c r="C32" s="14" t="s">
        <v>6</v>
      </c>
      <c r="D32" s="14" t="s">
        <v>0</v>
      </c>
      <c r="E32" s="1"/>
      <c r="F32" s="1"/>
      <c r="G32" s="17"/>
      <c r="H32" s="18"/>
      <c r="I32" s="18"/>
      <c r="J32" s="18"/>
    </row>
    <row r="33" spans="2:10" x14ac:dyDescent="0.3">
      <c r="B33" s="8" t="s">
        <v>29</v>
      </c>
      <c r="C33" s="9">
        <v>-40</v>
      </c>
      <c r="D33" s="12" t="s">
        <v>4</v>
      </c>
      <c r="E33" s="26" t="s">
        <v>100</v>
      </c>
      <c r="F33" s="1"/>
      <c r="G33" s="17"/>
      <c r="H33" s="18"/>
      <c r="I33" s="18"/>
      <c r="J33" s="18"/>
    </row>
    <row r="34" spans="2:10" x14ac:dyDescent="0.3">
      <c r="B34" s="8" t="s">
        <v>30</v>
      </c>
      <c r="C34" s="9">
        <v>125</v>
      </c>
      <c r="D34" s="12" t="s">
        <v>4</v>
      </c>
      <c r="E34" s="26" t="s">
        <v>101</v>
      </c>
      <c r="F34" s="1"/>
      <c r="G34" s="17"/>
      <c r="H34" s="18"/>
      <c r="I34" s="18"/>
      <c r="J34" s="18"/>
    </row>
    <row r="35" spans="2:10" x14ac:dyDescent="0.3">
      <c r="B35" s="8" t="s">
        <v>31</v>
      </c>
      <c r="C35" s="9">
        <v>3.5</v>
      </c>
      <c r="D35" s="11" t="s">
        <v>1</v>
      </c>
      <c r="E35" s="26" t="s">
        <v>99</v>
      </c>
      <c r="F35" s="1"/>
      <c r="G35" s="17"/>
      <c r="H35" s="18"/>
      <c r="I35" s="18"/>
      <c r="J35" s="18"/>
    </row>
    <row r="36" spans="2:10" x14ac:dyDescent="0.3">
      <c r="B36" s="8" t="s">
        <v>32</v>
      </c>
      <c r="C36" s="9">
        <v>40</v>
      </c>
      <c r="D36" s="12" t="s">
        <v>1</v>
      </c>
      <c r="E36" s="26" t="s">
        <v>98</v>
      </c>
      <c r="F36" s="1"/>
      <c r="G36" s="17"/>
      <c r="H36" s="18"/>
      <c r="I36" s="18"/>
      <c r="J36" s="18"/>
    </row>
    <row r="37" spans="2:10" x14ac:dyDescent="0.3">
      <c r="B37" s="8" t="s">
        <v>33</v>
      </c>
      <c r="C37" s="9">
        <v>0.01</v>
      </c>
      <c r="D37" s="12" t="s">
        <v>67</v>
      </c>
      <c r="E37" s="26" t="s">
        <v>102</v>
      </c>
      <c r="F37" s="1"/>
      <c r="G37" s="17"/>
      <c r="H37" s="18"/>
      <c r="I37" s="18"/>
      <c r="J37" s="18"/>
    </row>
    <row r="38" spans="2:10" ht="24.6" x14ac:dyDescent="0.3">
      <c r="B38" s="8" t="s">
        <v>34</v>
      </c>
      <c r="C38" s="9">
        <v>0.25</v>
      </c>
      <c r="D38" s="11" t="s">
        <v>22</v>
      </c>
      <c r="E38" s="31" t="s">
        <v>103</v>
      </c>
      <c r="F38" s="1"/>
      <c r="G38" s="17"/>
      <c r="H38" s="18"/>
      <c r="I38" s="18"/>
      <c r="J38" s="18"/>
    </row>
    <row r="39" spans="2:10" x14ac:dyDescent="0.3">
      <c r="B39" s="8" t="s">
        <v>35</v>
      </c>
      <c r="C39" s="9">
        <v>35</v>
      </c>
      <c r="D39" s="11" t="s">
        <v>39</v>
      </c>
      <c r="E39" s="31" t="s">
        <v>104</v>
      </c>
      <c r="F39" s="1"/>
      <c r="G39" s="17"/>
      <c r="H39" s="18"/>
      <c r="I39" s="18"/>
      <c r="J39" s="18"/>
    </row>
    <row r="40" spans="2:10" x14ac:dyDescent="0.3">
      <c r="B40" s="8" t="s">
        <v>36</v>
      </c>
      <c r="C40" s="9">
        <v>0.8</v>
      </c>
      <c r="D40" s="11" t="s">
        <v>47</v>
      </c>
      <c r="E40" s="31" t="s">
        <v>105</v>
      </c>
      <c r="F40" s="1"/>
      <c r="G40" s="17"/>
      <c r="H40" s="18"/>
      <c r="I40" s="18"/>
      <c r="J40" s="18"/>
    </row>
    <row r="41" spans="2:10" x14ac:dyDescent="0.3">
      <c r="B41" s="8" t="s">
        <v>37</v>
      </c>
      <c r="C41" s="9">
        <v>150</v>
      </c>
      <c r="D41" s="12" t="s">
        <v>4</v>
      </c>
      <c r="E41" s="31" t="s">
        <v>106</v>
      </c>
      <c r="F41" s="1"/>
      <c r="G41" s="17"/>
      <c r="H41" s="18"/>
      <c r="I41" s="18"/>
      <c r="J41" s="18"/>
    </row>
    <row r="42" spans="2:10" ht="24.6" x14ac:dyDescent="0.3">
      <c r="B42" s="8" t="s">
        <v>38</v>
      </c>
      <c r="C42" s="9">
        <v>350</v>
      </c>
      <c r="D42" s="12" t="s">
        <v>40</v>
      </c>
      <c r="E42" s="31" t="s">
        <v>107</v>
      </c>
      <c r="F42" s="1"/>
      <c r="G42" s="17"/>
      <c r="H42" s="18"/>
      <c r="I42" s="18"/>
      <c r="J42" s="18"/>
    </row>
    <row r="43" spans="2:10" ht="24.6" x14ac:dyDescent="0.3">
      <c r="B43" s="8" t="s">
        <v>41</v>
      </c>
      <c r="C43" s="23">
        <f>(C41-C13*C5)/C42</f>
        <v>0.25714285714285712</v>
      </c>
      <c r="D43" s="12" t="s">
        <v>22</v>
      </c>
      <c r="E43" s="31" t="s">
        <v>108</v>
      </c>
      <c r="F43" s="1"/>
      <c r="G43" s="17"/>
      <c r="H43" s="18"/>
      <c r="I43" s="18"/>
      <c r="J43" s="18"/>
    </row>
    <row r="44" spans="2:10" x14ac:dyDescent="0.3">
      <c r="B44" s="8" t="s">
        <v>42</v>
      </c>
      <c r="C44" s="23">
        <f>(C8*C19)/(C18+C19*C5)</f>
        <v>4.9261083743842367</v>
      </c>
      <c r="D44" s="12" t="s">
        <v>1</v>
      </c>
      <c r="E44" s="31" t="s">
        <v>109</v>
      </c>
      <c r="F44" s="1"/>
      <c r="G44" s="17"/>
      <c r="H44" s="18"/>
      <c r="I44" s="18"/>
      <c r="J44" s="18"/>
    </row>
    <row r="45" spans="2:10" x14ac:dyDescent="0.3">
      <c r="B45" s="8" t="s">
        <v>43</v>
      </c>
      <c r="C45" s="23" t="str">
        <f>IF(C44&gt;1.3*C35,"PASS","FAIL")</f>
        <v>PASS</v>
      </c>
      <c r="D45" s="12"/>
      <c r="E45" s="25"/>
      <c r="F45" s="1"/>
      <c r="G45" s="17"/>
      <c r="H45" s="18"/>
      <c r="I45" s="18"/>
      <c r="J45" s="18"/>
    </row>
    <row r="46" spans="2:10" x14ac:dyDescent="0.3">
      <c r="E46" s="1"/>
      <c r="F46" s="1"/>
      <c r="G46" s="17"/>
      <c r="H46" s="18"/>
      <c r="I46" s="18"/>
      <c r="J46" s="18"/>
    </row>
    <row r="47" spans="2:10" ht="15.6" x14ac:dyDescent="0.3">
      <c r="B47" s="35" t="s">
        <v>44</v>
      </c>
      <c r="C47" s="35"/>
      <c r="D47" s="35"/>
      <c r="E47" s="1"/>
      <c r="F47" s="1"/>
      <c r="G47" s="17"/>
      <c r="H47" s="18"/>
      <c r="I47" s="18"/>
      <c r="J47" s="18"/>
    </row>
    <row r="48" spans="2:10" x14ac:dyDescent="0.3">
      <c r="B48" s="14" t="s">
        <v>7</v>
      </c>
      <c r="C48" s="14" t="s">
        <v>6</v>
      </c>
      <c r="D48" s="14" t="s">
        <v>0</v>
      </c>
      <c r="E48" s="1"/>
      <c r="F48" s="1"/>
      <c r="G48" s="17"/>
      <c r="H48" s="18"/>
      <c r="I48" s="18"/>
      <c r="J48" s="18"/>
    </row>
    <row r="49" spans="2:10" x14ac:dyDescent="0.3">
      <c r="B49" s="8" t="s">
        <v>45</v>
      </c>
      <c r="C49" s="23">
        <f>C8/C18*1000*C5</f>
        <v>3.3333333333333335</v>
      </c>
      <c r="D49" s="11" t="s">
        <v>46</v>
      </c>
      <c r="E49" s="26" t="s">
        <v>110</v>
      </c>
      <c r="F49" s="1"/>
      <c r="G49" s="17"/>
      <c r="H49" s="18"/>
      <c r="I49" s="18"/>
      <c r="J49" s="18"/>
    </row>
    <row r="50" spans="2:10" x14ac:dyDescent="0.3">
      <c r="B50" s="8" t="s">
        <v>48</v>
      </c>
      <c r="C50" s="23">
        <f>(C8*C18/(C18+C19))/C18*1000*C5</f>
        <v>4.9261083743842367E-2</v>
      </c>
      <c r="D50" s="11" t="s">
        <v>46</v>
      </c>
      <c r="E50" s="26" t="s">
        <v>111</v>
      </c>
      <c r="F50" s="1"/>
      <c r="G50" s="17"/>
      <c r="H50" s="18"/>
      <c r="I50" s="18"/>
      <c r="J50" s="18"/>
    </row>
    <row r="51" spans="2:10" x14ac:dyDescent="0.3">
      <c r="B51" s="8" t="s">
        <v>49</v>
      </c>
      <c r="C51" s="23">
        <f>(C8*C19/(C18+C19))/C19*1000*C5</f>
        <v>4.9261083743842367E-2</v>
      </c>
      <c r="D51" s="11" t="s">
        <v>46</v>
      </c>
      <c r="E51" s="26" t="s">
        <v>112</v>
      </c>
      <c r="F51" s="1"/>
      <c r="G51" s="17"/>
      <c r="H51" s="18"/>
      <c r="I51" s="18"/>
      <c r="J51" s="18"/>
    </row>
    <row r="52" spans="2:10" x14ac:dyDescent="0.3">
      <c r="B52" s="8" t="s">
        <v>50</v>
      </c>
      <c r="C52" s="23">
        <f>C9/C25*1000*C5</f>
        <v>50</v>
      </c>
      <c r="D52" s="11" t="s">
        <v>46</v>
      </c>
      <c r="E52" s="26" t="s">
        <v>113</v>
      </c>
      <c r="F52" s="1"/>
      <c r="G52" s="17"/>
      <c r="H52" s="18"/>
      <c r="I52" s="18"/>
      <c r="J52" s="18"/>
    </row>
    <row r="53" spans="2:10" x14ac:dyDescent="0.3">
      <c r="B53" s="19"/>
      <c r="C53" s="20"/>
      <c r="D53" s="20"/>
      <c r="E53" s="6"/>
      <c r="F53" s="1"/>
      <c r="G53" s="17"/>
      <c r="H53" s="18"/>
      <c r="I53" s="18"/>
      <c r="J53" s="18"/>
    </row>
    <row r="54" spans="2:10" ht="15.6" x14ac:dyDescent="0.3">
      <c r="B54" s="35" t="s">
        <v>51</v>
      </c>
      <c r="C54" s="35"/>
      <c r="D54" s="35"/>
      <c r="E54" s="6"/>
      <c r="F54" s="1"/>
      <c r="G54" s="17"/>
      <c r="H54" s="18"/>
      <c r="I54" s="18"/>
      <c r="J54" s="18"/>
    </row>
    <row r="55" spans="2:10" x14ac:dyDescent="0.3">
      <c r="B55" s="14" t="s">
        <v>7</v>
      </c>
      <c r="C55" s="14" t="s">
        <v>6</v>
      </c>
      <c r="D55" s="14" t="s">
        <v>0</v>
      </c>
      <c r="E55" s="6"/>
      <c r="F55" s="1"/>
      <c r="G55" s="17"/>
      <c r="H55" s="18"/>
      <c r="I55" s="18"/>
      <c r="J55" s="18"/>
    </row>
    <row r="56" spans="2:10" x14ac:dyDescent="0.3">
      <c r="B56" s="8" t="s">
        <v>52</v>
      </c>
      <c r="C56" s="23">
        <f>(C49/1000)^2*C18*1000</f>
        <v>16.666666666666671</v>
      </c>
      <c r="D56" s="11" t="s">
        <v>53</v>
      </c>
      <c r="E56" s="26" t="s">
        <v>114</v>
      </c>
      <c r="F56" s="1"/>
      <c r="G56" s="17"/>
      <c r="H56" s="18"/>
      <c r="I56" s="18"/>
      <c r="J56" s="18"/>
    </row>
    <row r="57" spans="2:10" x14ac:dyDescent="0.3">
      <c r="B57" s="8" t="s">
        <v>54</v>
      </c>
      <c r="C57" s="23">
        <f>C50/1000*C50/1000*C18*1000</f>
        <v>3.6399815574267762E-3</v>
      </c>
      <c r="D57" s="11" t="s">
        <v>53</v>
      </c>
      <c r="E57" s="26" t="s">
        <v>115</v>
      </c>
      <c r="F57" s="1"/>
      <c r="G57" s="17"/>
      <c r="H57" s="18"/>
      <c r="I57" s="18"/>
      <c r="J57" s="18"/>
    </row>
    <row r="58" spans="2:10" x14ac:dyDescent="0.3">
      <c r="B58" s="8" t="s">
        <v>55</v>
      </c>
      <c r="C58" s="23">
        <f>C51/1000*C51/1000*C19*1000</f>
        <v>0.24266543716178504</v>
      </c>
      <c r="D58" s="11" t="s">
        <v>53</v>
      </c>
      <c r="E58" s="26" t="s">
        <v>116</v>
      </c>
      <c r="F58" s="1"/>
      <c r="G58" s="17"/>
      <c r="H58" s="18"/>
      <c r="I58" s="18"/>
      <c r="J58" s="18"/>
    </row>
    <row r="59" spans="2:10" x14ac:dyDescent="0.3">
      <c r="B59" s="8" t="s">
        <v>64</v>
      </c>
      <c r="C59" s="23">
        <f>C52/1000*C52/1000*C25*1000</f>
        <v>250</v>
      </c>
      <c r="D59" s="11" t="s">
        <v>53</v>
      </c>
      <c r="E59" s="26" t="s">
        <v>117</v>
      </c>
      <c r="F59" s="1"/>
      <c r="G59" s="17"/>
      <c r="H59" s="18"/>
      <c r="I59" s="18"/>
      <c r="J59" s="18"/>
    </row>
    <row r="60" spans="2:10" x14ac:dyDescent="0.3">
      <c r="B60" s="8" t="s">
        <v>66</v>
      </c>
      <c r="C60" s="23">
        <f>C52/1000*C52/1000*C37*1000</f>
        <v>2.5000000000000001E-2</v>
      </c>
      <c r="D60" s="11" t="s">
        <v>53</v>
      </c>
      <c r="E60" s="26" t="s">
        <v>118</v>
      </c>
      <c r="F60" s="1"/>
      <c r="G60" s="17"/>
      <c r="H60" s="18"/>
      <c r="I60" s="18"/>
      <c r="J60" s="18"/>
    </row>
    <row r="61" spans="2:10" x14ac:dyDescent="0.3">
      <c r="E61" s="1"/>
      <c r="F61" s="1"/>
      <c r="G61" s="17"/>
      <c r="H61" s="18"/>
      <c r="I61" s="18"/>
      <c r="J61" s="18"/>
    </row>
    <row r="62" spans="2:10" ht="15.6" x14ac:dyDescent="0.3">
      <c r="B62" s="35" t="s">
        <v>56</v>
      </c>
      <c r="C62" s="35"/>
      <c r="D62" s="35"/>
      <c r="E62" s="1"/>
      <c r="F62" s="1"/>
      <c r="G62" s="17"/>
      <c r="H62" s="18"/>
      <c r="I62" s="18"/>
      <c r="J62" s="18"/>
    </row>
    <row r="63" spans="2:10" x14ac:dyDescent="0.3">
      <c r="B63" s="14" t="s">
        <v>7</v>
      </c>
      <c r="C63" s="14" t="s">
        <v>6</v>
      </c>
      <c r="D63" s="14" t="s">
        <v>0</v>
      </c>
      <c r="E63" s="1"/>
      <c r="F63" s="1"/>
      <c r="G63" s="17"/>
      <c r="H63" s="18"/>
      <c r="I63" s="18"/>
      <c r="J63" s="18"/>
    </row>
    <row r="64" spans="2:10" x14ac:dyDescent="0.3">
      <c r="B64" s="8" t="s">
        <v>57</v>
      </c>
      <c r="C64" s="23">
        <f>C56/1000/C20*100</f>
        <v>16.666666666666668</v>
      </c>
      <c r="D64" s="11" t="s">
        <v>2</v>
      </c>
      <c r="E64" s="26" t="s">
        <v>119</v>
      </c>
      <c r="F64" s="1"/>
      <c r="G64" s="17"/>
      <c r="H64" s="18"/>
      <c r="I64" s="18"/>
      <c r="J64" s="18"/>
    </row>
    <row r="65" spans="2:10" x14ac:dyDescent="0.3">
      <c r="B65" s="8" t="s">
        <v>60</v>
      </c>
      <c r="C65" s="23">
        <f>C57/C5*1000/C20*100</f>
        <v>3639.9815574267764</v>
      </c>
      <c r="D65" s="11" t="s">
        <v>2</v>
      </c>
      <c r="E65" s="26" t="s">
        <v>120</v>
      </c>
      <c r="F65" s="1"/>
      <c r="G65" s="17"/>
      <c r="H65" s="18"/>
      <c r="I65" s="18"/>
      <c r="J65" s="18"/>
    </row>
    <row r="66" spans="2:10" x14ac:dyDescent="0.3">
      <c r="B66" s="8" t="s">
        <v>61</v>
      </c>
      <c r="C66" s="23">
        <f>C58/1000/C21*100*C5</f>
        <v>0.24266543716178504</v>
      </c>
      <c r="D66" s="11" t="s">
        <v>2</v>
      </c>
      <c r="E66" s="26" t="s">
        <v>121</v>
      </c>
      <c r="F66" s="1"/>
      <c r="G66" s="17"/>
      <c r="H66" s="18"/>
      <c r="I66" s="18"/>
      <c r="J66" s="18"/>
    </row>
    <row r="67" spans="2:10" x14ac:dyDescent="0.3">
      <c r="B67" s="8" t="s">
        <v>63</v>
      </c>
      <c r="C67" s="23">
        <f>C59/1000/C27*100</f>
        <v>25</v>
      </c>
      <c r="D67" s="11" t="s">
        <v>2</v>
      </c>
      <c r="E67" s="26" t="s">
        <v>122</v>
      </c>
      <c r="F67" s="1"/>
      <c r="G67" s="17"/>
      <c r="H67" s="18"/>
      <c r="I67" s="18"/>
      <c r="J67" s="18"/>
    </row>
    <row r="68" spans="2:10" x14ac:dyDescent="0.3">
      <c r="B68" s="8" t="s">
        <v>69</v>
      </c>
      <c r="C68" s="23">
        <f>C60/1000/C38*100</f>
        <v>0.01</v>
      </c>
      <c r="D68" s="11" t="s">
        <v>2</v>
      </c>
      <c r="E68" s="26" t="s">
        <v>123</v>
      </c>
      <c r="F68" s="1"/>
      <c r="G68" s="17"/>
      <c r="H68" s="18"/>
      <c r="I68" s="18"/>
      <c r="J68" s="18"/>
    </row>
    <row r="69" spans="2:10" x14ac:dyDescent="0.3">
      <c r="B69" s="24"/>
      <c r="E69" s="6"/>
      <c r="F69" s="1"/>
      <c r="G69" s="17"/>
      <c r="H69" s="18"/>
      <c r="I69" s="18"/>
      <c r="J69" s="18"/>
    </row>
    <row r="70" spans="2:10" ht="15.6" x14ac:dyDescent="0.3">
      <c r="B70" s="35" t="s">
        <v>76</v>
      </c>
      <c r="C70" s="35"/>
      <c r="D70" s="36"/>
      <c r="E70" s="6"/>
      <c r="F70" s="1"/>
      <c r="G70" s="17"/>
      <c r="H70" s="18"/>
      <c r="I70" s="18"/>
      <c r="J70" s="18"/>
    </row>
    <row r="71" spans="2:10" x14ac:dyDescent="0.3">
      <c r="B71" s="8" t="s">
        <v>70</v>
      </c>
      <c r="C71" s="23" t="str">
        <f>IF(C64/100&lt;0.8,"PASS","FAIL")</f>
        <v>PASS</v>
      </c>
      <c r="D71" s="11"/>
      <c r="E71" s="26"/>
      <c r="F71" s="1"/>
      <c r="G71" s="17"/>
      <c r="H71" s="18"/>
      <c r="I71" s="18"/>
      <c r="J71" s="18"/>
    </row>
    <row r="72" spans="2:10" x14ac:dyDescent="0.3">
      <c r="B72" s="8" t="s">
        <v>71</v>
      </c>
      <c r="C72" s="23" t="str">
        <f>IF(C65/100&lt;0.8,"PASS","FAIL")</f>
        <v>FAIL</v>
      </c>
      <c r="D72" s="11"/>
      <c r="E72" s="26"/>
      <c r="F72" s="1"/>
      <c r="G72" s="17"/>
      <c r="H72" s="18"/>
      <c r="I72" s="18"/>
      <c r="J72" s="18"/>
    </row>
    <row r="73" spans="2:10" x14ac:dyDescent="0.3">
      <c r="B73" s="8" t="s">
        <v>62</v>
      </c>
      <c r="C73" s="23" t="str">
        <f>IF(C66/100&lt;0.8,"PASS","FAIL")</f>
        <v>PASS</v>
      </c>
      <c r="D73" s="11"/>
      <c r="E73" s="26"/>
      <c r="F73" s="1"/>
      <c r="G73" s="17"/>
      <c r="H73" s="18"/>
      <c r="I73" s="18"/>
      <c r="J73" s="18"/>
    </row>
    <row r="74" spans="2:10" x14ac:dyDescent="0.3">
      <c r="B74" s="8" t="s">
        <v>65</v>
      </c>
      <c r="C74" s="23" t="str">
        <f>IF(C67/100&lt;0.8,"PASS","FAIL")</f>
        <v>PASS</v>
      </c>
      <c r="D74" s="11"/>
      <c r="E74" s="26"/>
      <c r="F74" s="1"/>
      <c r="G74" s="17"/>
      <c r="H74" s="18"/>
      <c r="I74" s="18"/>
      <c r="J74" s="18"/>
    </row>
    <row r="75" spans="2:10" x14ac:dyDescent="0.3">
      <c r="B75" s="8" t="s">
        <v>68</v>
      </c>
      <c r="C75" s="23" t="str">
        <f>IF(C60/100&lt;0.8,"PASS","FAIL")</f>
        <v>PASS</v>
      </c>
      <c r="D75" s="11"/>
      <c r="E75" s="26"/>
      <c r="F75" s="1"/>
      <c r="G75" s="17"/>
      <c r="H75" s="18"/>
      <c r="I75" s="18"/>
      <c r="J75" s="18"/>
    </row>
    <row r="76" spans="2:10" x14ac:dyDescent="0.3">
      <c r="E76" s="1"/>
      <c r="F76" s="1"/>
      <c r="G76" s="17"/>
      <c r="H76" s="18"/>
      <c r="I76" s="18"/>
      <c r="J76" s="18"/>
    </row>
    <row r="77" spans="2:10" ht="15.6" x14ac:dyDescent="0.3">
      <c r="B77" s="35" t="s">
        <v>77</v>
      </c>
      <c r="C77" s="35"/>
      <c r="D77" s="35"/>
      <c r="E77" s="1"/>
      <c r="F77" s="1"/>
      <c r="G77" s="17"/>
      <c r="H77" s="18"/>
      <c r="I77" s="18"/>
      <c r="J77" s="18"/>
    </row>
    <row r="78" spans="2:10" x14ac:dyDescent="0.3">
      <c r="B78" s="14" t="s">
        <v>7</v>
      </c>
      <c r="C78" s="14" t="s">
        <v>6</v>
      </c>
      <c r="D78" s="15"/>
      <c r="E78" s="1"/>
      <c r="F78" s="1"/>
      <c r="G78" s="17"/>
      <c r="H78" s="18"/>
      <c r="I78" s="18"/>
      <c r="J78" s="18"/>
    </row>
    <row r="79" spans="2:10" x14ac:dyDescent="0.3">
      <c r="B79" s="8" t="s">
        <v>72</v>
      </c>
      <c r="C79" s="23" t="str">
        <f>IF(C28&lt;=-40,"PASS","FAIL")</f>
        <v>PASS</v>
      </c>
      <c r="D79" s="11"/>
      <c r="E79" s="31"/>
      <c r="F79" s="1"/>
      <c r="G79" s="17"/>
      <c r="H79" s="18"/>
      <c r="I79" s="18"/>
      <c r="J79" s="18"/>
    </row>
    <row r="80" spans="2:10" x14ac:dyDescent="0.3">
      <c r="B80" s="8" t="s">
        <v>73</v>
      </c>
      <c r="C80" s="23" t="str">
        <f>IF(C29&gt;=125,"PASS","FAIL")</f>
        <v>PASS</v>
      </c>
      <c r="D80" s="11"/>
      <c r="E80" s="31"/>
      <c r="F80" s="1"/>
      <c r="G80" s="17"/>
      <c r="H80" s="18"/>
      <c r="I80" s="18"/>
      <c r="J80" s="18"/>
    </row>
    <row r="81" spans="2:10" x14ac:dyDescent="0.3">
      <c r="B81" s="8" t="s">
        <v>74</v>
      </c>
      <c r="C81" s="23" t="str">
        <f>IF(C33&lt;=-40,"PASS","FAIL")</f>
        <v>PASS</v>
      </c>
      <c r="D81" s="11"/>
      <c r="E81" s="31"/>
      <c r="F81" s="1"/>
      <c r="G81" s="17"/>
      <c r="H81" s="18"/>
      <c r="I81" s="18"/>
      <c r="J81" s="18"/>
    </row>
    <row r="82" spans="2:10" x14ac:dyDescent="0.3">
      <c r="B82" s="8" t="s">
        <v>75</v>
      </c>
      <c r="C82" s="23" t="str">
        <f>IF(C34&gt;=125,"PASS","FAIL")</f>
        <v>PASS</v>
      </c>
      <c r="D82" s="11"/>
      <c r="E82" s="31"/>
      <c r="F82" s="1"/>
      <c r="G82" s="17"/>
      <c r="H82" s="18"/>
      <c r="I82" s="18"/>
      <c r="J82" s="18"/>
    </row>
    <row r="83" spans="2:10" x14ac:dyDescent="0.3">
      <c r="B83" s="24"/>
      <c r="E83" s="16"/>
      <c r="F83" s="1"/>
      <c r="G83" s="17"/>
      <c r="H83" s="18"/>
      <c r="I83" s="18"/>
      <c r="J83" s="18"/>
    </row>
    <row r="84" spans="2:10" x14ac:dyDescent="0.3">
      <c r="B84" s="8" t="s">
        <v>83</v>
      </c>
      <c r="C84" s="9">
        <v>1</v>
      </c>
      <c r="D84" s="11"/>
      <c r="E84" s="31" t="s">
        <v>128</v>
      </c>
      <c r="F84" s="1"/>
      <c r="G84" s="17"/>
      <c r="H84" s="18"/>
      <c r="I84" s="18"/>
      <c r="J84" s="18"/>
    </row>
    <row r="85" spans="2:10" x14ac:dyDescent="0.3">
      <c r="E85" s="1"/>
      <c r="F85" s="1"/>
      <c r="G85" s="17"/>
      <c r="H85" s="18"/>
      <c r="I85" s="18"/>
      <c r="J85" s="18"/>
    </row>
    <row r="86" spans="2:10" ht="15.6" x14ac:dyDescent="0.3">
      <c r="B86" s="32" t="s">
        <v>81</v>
      </c>
      <c r="C86" s="33"/>
      <c r="D86" s="34"/>
      <c r="E86" s="1"/>
      <c r="F86" s="1"/>
      <c r="G86" s="17"/>
      <c r="H86" s="18"/>
      <c r="I86" s="18"/>
      <c r="J86" s="18"/>
    </row>
    <row r="87" spans="2:10" x14ac:dyDescent="0.3">
      <c r="B87" s="14" t="s">
        <v>7</v>
      </c>
      <c r="C87" s="14" t="s">
        <v>6</v>
      </c>
      <c r="D87" s="14" t="s">
        <v>0</v>
      </c>
      <c r="E87" s="1"/>
      <c r="F87" s="1"/>
      <c r="G87" s="17"/>
      <c r="H87" s="18"/>
      <c r="I87" s="18"/>
      <c r="J87" s="18"/>
    </row>
    <row r="88" spans="2:10" x14ac:dyDescent="0.3">
      <c r="B88" s="8" t="s">
        <v>78</v>
      </c>
      <c r="C88" s="23">
        <f>C9+(C26/1000000*(C52/1000)*2/(3.141592*SQRT(C26/1000000*C39/1000000000000)))</f>
        <v>58.804202119722525</v>
      </c>
      <c r="D88" s="11" t="s">
        <v>1</v>
      </c>
      <c r="E88" s="26" t="s">
        <v>124</v>
      </c>
      <c r="F88" s="5"/>
      <c r="G88" s="17"/>
      <c r="H88" s="18"/>
      <c r="I88" s="18"/>
      <c r="J88" s="18"/>
    </row>
    <row r="89" spans="2:10" x14ac:dyDescent="0.3">
      <c r="B89" s="8" t="s">
        <v>80</v>
      </c>
      <c r="C89" s="23">
        <f>1.2+C9</f>
        <v>6.2</v>
      </c>
      <c r="D89" s="11" t="s">
        <v>1</v>
      </c>
      <c r="E89" s="26" t="s">
        <v>125</v>
      </c>
      <c r="F89" s="1"/>
      <c r="G89" s="17"/>
      <c r="H89" s="18"/>
      <c r="I89" s="18"/>
      <c r="J89" s="18"/>
    </row>
    <row r="90" spans="2:10" x14ac:dyDescent="0.3">
      <c r="B90" s="8" t="s">
        <v>82</v>
      </c>
      <c r="C90" s="23">
        <f>C88/C36*100</f>
        <v>147.01050529930632</v>
      </c>
      <c r="D90" s="11" t="s">
        <v>2</v>
      </c>
      <c r="E90" s="26" t="s">
        <v>127</v>
      </c>
      <c r="F90" s="1"/>
      <c r="G90" s="17"/>
      <c r="H90" s="18"/>
      <c r="I90" s="18"/>
      <c r="J90" s="18"/>
    </row>
    <row r="91" spans="2:10" x14ac:dyDescent="0.3">
      <c r="B91" s="8" t="s">
        <v>79</v>
      </c>
      <c r="C91" s="23">
        <f>C89/C36*100</f>
        <v>15.5</v>
      </c>
      <c r="D91" s="11" t="s">
        <v>2</v>
      </c>
      <c r="E91" s="26" t="s">
        <v>126</v>
      </c>
      <c r="F91" s="1"/>
      <c r="G91" s="17"/>
      <c r="H91" s="18"/>
      <c r="I91" s="18"/>
      <c r="J91" s="18"/>
    </row>
    <row r="92" spans="2:10" x14ac:dyDescent="0.3">
      <c r="B92" s="8" t="s">
        <v>84</v>
      </c>
      <c r="C92" s="23" t="str">
        <f>IF(C84=1,IF(C91/100&lt;0.7,"PASS","FAIL"),IF(C90/100&lt;0.7,"PASS","FAIL"))</f>
        <v>PASS</v>
      </c>
      <c r="D92" s="11"/>
      <c r="E92" s="25"/>
      <c r="F92" s="1"/>
      <c r="G92" s="17"/>
      <c r="H92" s="18"/>
      <c r="I92" s="18"/>
      <c r="J92" s="18"/>
    </row>
  </sheetData>
  <mergeCells count="12">
    <mergeCell ref="B6:D6"/>
    <mergeCell ref="B47:D47"/>
    <mergeCell ref="B62:D62"/>
    <mergeCell ref="B77:D77"/>
    <mergeCell ref="A2:A4"/>
    <mergeCell ref="B86:D86"/>
    <mergeCell ref="B16:D16"/>
    <mergeCell ref="B11:D11"/>
    <mergeCell ref="B23:D23"/>
    <mergeCell ref="B31:D31"/>
    <mergeCell ref="B54:D54"/>
    <mergeCell ref="B70:D70"/>
  </mergeCells>
  <phoneticPr fontId="7" type="noConversion"/>
  <conditionalFormatting sqref="C45">
    <cfRule type="cellIs" dxfId="7" priority="1" operator="equal">
      <formula>"FAIL"</formula>
    </cfRule>
    <cfRule type="cellIs" dxfId="6" priority="2" operator="equal">
      <formula>"PASS"</formula>
    </cfRule>
  </conditionalFormatting>
  <conditionalFormatting sqref="C71:C75">
    <cfRule type="cellIs" dxfId="5" priority="7" operator="equal">
      <formula>"FAIL"</formula>
    </cfRule>
    <cfRule type="cellIs" dxfId="4" priority="8" operator="equal">
      <formula>"PASS"</formula>
    </cfRule>
  </conditionalFormatting>
  <conditionalFormatting sqref="C79:C82">
    <cfRule type="cellIs" dxfId="3" priority="5" operator="equal">
      <formula>"PASS"</formula>
    </cfRule>
    <cfRule type="cellIs" dxfId="2" priority="6" operator="equal">
      <formula>"FAIL"</formula>
    </cfRule>
  </conditionalFormatting>
  <conditionalFormatting sqref="C92">
    <cfRule type="cellIs" dxfId="1" priority="3" operator="equal">
      <formula>"FAIL"</formula>
    </cfRule>
    <cfRule type="cellIs" dxfId="0" priority="4" operator="equal">
      <formula>"PASS"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Lester Soronio</dc:creator>
  <cp:lastModifiedBy>John Lester Soronio</cp:lastModifiedBy>
  <dcterms:created xsi:type="dcterms:W3CDTF">2021-12-12T14:50:32Z</dcterms:created>
  <dcterms:modified xsi:type="dcterms:W3CDTF">2025-04-13T05:47:13Z</dcterms:modified>
</cp:coreProperties>
</file>